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U:\Документы\Отдел договорной работы\ОТЧЕТЫ\ЕЖЕМЕСЯЧНЫЕ отчеты\Отчетность ФАС _ Приложение 10 - до 10 числа\2024\6. Июнь\"/>
    </mc:Choice>
  </mc:AlternateContent>
  <bookViews>
    <workbookView xWindow="0" yWindow="0" windowWidth="28800" windowHeight="14235"/>
  </bookViews>
  <sheets>
    <sheet name="Июнь 2024" sheetId="6" r:id="rId1"/>
  </sheets>
  <definedNames>
    <definedName name="_xlnm._FilterDatabase" localSheetId="0" hidden="1">'Июнь 2024'!$A$9:$W$79</definedName>
    <definedName name="Цена_за_единицу_товара__работ__услуг__тыс._руб.">'Июнь 2024'!$Q$4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3" i="6" l="1"/>
  <c r="T83" i="6" s="1"/>
  <c r="Q82" i="6"/>
  <c r="Q81" i="6"/>
  <c r="Q65" i="6"/>
  <c r="T65" i="6" s="1"/>
  <c r="Q79" i="6"/>
  <c r="T79" i="6" s="1"/>
  <c r="Q78" i="6"/>
  <c r="T78" i="6" s="1"/>
  <c r="Q77" i="6"/>
  <c r="T77" i="6" s="1"/>
  <c r="Q76" i="6"/>
  <c r="T76" i="6" s="1"/>
  <c r="Q75" i="6"/>
  <c r="Q74" i="6"/>
  <c r="Q87" i="6"/>
  <c r="Q73" i="6"/>
  <c r="Q72" i="6"/>
  <c r="Q90" i="6"/>
  <c r="Q71" i="6"/>
  <c r="Q70" i="6"/>
  <c r="Q69" i="6"/>
  <c r="Q68" i="6"/>
  <c r="Q67" i="6"/>
  <c r="Q66" i="6"/>
  <c r="Q88" i="6"/>
  <c r="Q64" i="6"/>
  <c r="Q63" i="6"/>
  <c r="Q62" i="6"/>
  <c r="Q61" i="6"/>
  <c r="Q60" i="6"/>
  <c r="Q59" i="6"/>
  <c r="Q58" i="6"/>
  <c r="Q86" i="6"/>
  <c r="Q85" i="6"/>
  <c r="Q57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T82" i="6"/>
  <c r="T55" i="6" l="1"/>
  <c r="T54" i="6"/>
  <c r="T53" i="6"/>
  <c r="T52" i="6"/>
  <c r="T51" i="6"/>
  <c r="T50" i="6"/>
  <c r="T49" i="6"/>
  <c r="T48" i="6"/>
  <c r="T47" i="6"/>
  <c r="T38" i="6" l="1"/>
  <c r="T75" i="6"/>
  <c r="T74" i="6"/>
  <c r="T81" i="6"/>
  <c r="T73" i="6"/>
  <c r="T72" i="6"/>
  <c r="T90" i="6"/>
  <c r="T71" i="6"/>
  <c r="T70" i="6"/>
  <c r="T69" i="6"/>
  <c r="T68" i="6"/>
  <c r="T67" i="6"/>
  <c r="T66" i="6"/>
  <c r="T88" i="6"/>
  <c r="T64" i="6"/>
  <c r="T63" i="6"/>
  <c r="T62" i="6"/>
  <c r="T45" i="6"/>
  <c r="T44" i="6"/>
  <c r="T61" i="6"/>
  <c r="T60" i="6"/>
  <c r="T59" i="6"/>
  <c r="T58" i="6"/>
  <c r="T46" i="6"/>
  <c r="T86" i="6"/>
  <c r="T57" i="6"/>
  <c r="T85" i="6"/>
  <c r="T43" i="6"/>
  <c r="T42" i="6"/>
  <c r="T41" i="6"/>
  <c r="T40" i="6"/>
  <c r="T39" i="6"/>
  <c r="T87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</calcChain>
</file>

<file path=xl/sharedStrings.xml><?xml version="1.0" encoding="utf-8"?>
<sst xmlns="http://schemas.openxmlformats.org/spreadsheetml/2006/main" count="340" uniqueCount="240">
  <si>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</si>
  <si>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</si>
  <si>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</si>
  <si>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</si>
  <si>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</si>
  <si>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</si>
  <si>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</si>
  <si>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</si>
  <si>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</si>
  <si>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</si>
  <si>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</si>
  <si>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</si>
  <si>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</si>
  <si>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</si>
  <si>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услуг)</t>
  </si>
  <si>
    <t>Сумма закупки (товаров, работ, услуг) (тыс. руб.)</t>
  </si>
  <si>
    <t>Поставщик (подрядная организация)</t>
  </si>
  <si>
    <t>№ п/п</t>
  </si>
  <si>
    <t>Дата закупки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</si>
  <si>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</si>
  <si>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</si>
  <si>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</si>
  <si>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</si>
  <si>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</si>
  <si>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</si>
  <si>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</si>
  <si>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</si>
  <si>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</si>
  <si>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</si>
  <si>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Номер договора</t>
  </si>
  <si>
    <t xml:space="preserve">Услуги производственного назначения </t>
  </si>
  <si>
    <t xml:space="preserve">усл. ед. </t>
  </si>
  <si>
    <t>усл. ед</t>
  </si>
  <si>
    <t>усл.ед.</t>
  </si>
  <si>
    <t>ООО "НОРНИКЕЛЬ СПУТНИК"</t>
  </si>
  <si>
    <t>Поставка</t>
  </si>
  <si>
    <t>ЗФ ПАО "ГМК "Норильский никель"</t>
  </si>
  <si>
    <t>ООО "Кайрос Инжиниринг"</t>
  </si>
  <si>
    <t>ООО "ТПО "РИЛ"</t>
  </si>
  <si>
    <t>ООО "БИРИНГ"</t>
  </si>
  <si>
    <t>ООО "ДНП"</t>
  </si>
  <si>
    <t>ООО "ТЕХНОМИР - ВОСТОК"</t>
  </si>
  <si>
    <t>ООО "ЛАВА"</t>
  </si>
  <si>
    <t>ООО "Инсистем"</t>
  </si>
  <si>
    <t>ООО "ЕЛТА"</t>
  </si>
  <si>
    <t>КОЧКАНЯН ЭДГАР Григорьевич</t>
  </si>
  <si>
    <t>АО "ВМЗ"</t>
  </si>
  <si>
    <t>Участие работников в семинарах, конференциях и иных мероприятиях, связанных с обучением</t>
  </si>
  <si>
    <t>АНО ДПО "ЦПР ПРОФИ"</t>
  </si>
  <si>
    <t>Аренда</t>
  </si>
  <si>
    <t xml:space="preserve">
О способах приобретения, стоимости и объемах товаров, необходимых для оказания услуг по транспортировке газа  по трубопровадам АО "Норильсктрансгаз" в июне 2024 г.</t>
  </si>
  <si>
    <t>САВЧУК НИКИТА Витальевич</t>
  </si>
  <si>
    <t>ООО "ЦЕНТР ИНФОРМАЦИОННЫХ ТЕХНОЛОГИЙ "ХАЙ-ТЕК"</t>
  </si>
  <si>
    <t>НТГ/БОД/2024-123</t>
  </si>
  <si>
    <t>НТГ/БОД/2024-128</t>
  </si>
  <si>
    <t>Поставка подарочных корпоративных пакетов</t>
  </si>
  <si>
    <t>Поставка спецодежды</t>
  </si>
  <si>
    <t>НТГ/БОД/2024-144</t>
  </si>
  <si>
    <t>НТГ/БОД/2024-143</t>
  </si>
  <si>
    <t>НТГ/БОД/2024-145</t>
  </si>
  <si>
    <t>НТГ/БОД/2024-146</t>
  </si>
  <si>
    <t>НТГ/БОД/2024-124</t>
  </si>
  <si>
    <t>ООО "ШТРИХ РУ"</t>
  </si>
  <si>
    <t>ООО "МАСТЕР ГИФТС"</t>
  </si>
  <si>
    <t>ООО "БИЗНЕС КЛАСС"</t>
  </si>
  <si>
    <t>КУХАРЕНКО ДЕНИС Владимирович</t>
  </si>
  <si>
    <t>АО "ВОСТОК-СЕРВИС-СПЕЦКОМПЛЕКТ"</t>
  </si>
  <si>
    <t>ЧОУ ДПО УЦ "Прогресс"</t>
  </si>
  <si>
    <t>НТГ/БОД/2024-131</t>
  </si>
  <si>
    <t>Услуги по обеспечению витаминами</t>
  </si>
  <si>
    <t>Технический надзорза ЗиС</t>
  </si>
  <si>
    <t>НТГ/БОД/2024-129</t>
  </si>
  <si>
    <t>НТГ/БОД/2024-137</t>
  </si>
  <si>
    <t>НТГ/БОД/2024-125</t>
  </si>
  <si>
    <t>НТГ/БОД/2024-130</t>
  </si>
  <si>
    <t>ФБУЗ "ЦЕНТР ГИГИЕНЫ И ЭПИДЕМИОЛОГИИ В КРАСНОЯРСКОМ КРАЕ"</t>
  </si>
  <si>
    <t>САВЛЮКОВ СЕРГЕЙ Юрьевич</t>
  </si>
  <si>
    <t>ООО "ЦЕНТР ВОССТАНОВИТЕЛЬНОЙ МЕДИЦИНЫ И РЕАБИЛИТАЦИИ "ПАРАЦЕЛЬС"</t>
  </si>
  <si>
    <t>ООО "УЦ "РАЗВИТИЕ ПЕРСОНАЛА"</t>
  </si>
  <si>
    <t>ООО "НЦПО"</t>
  </si>
  <si>
    <t>НТГ/БОД/2024-132</t>
  </si>
  <si>
    <t>НТГ/БОД/2024-147</t>
  </si>
  <si>
    <t>НТГ/БОД/2024-134</t>
  </si>
  <si>
    <t>Предоставление доступа к Информационно-аналит. системе Глобас</t>
  </si>
  <si>
    <t>Разработка рабочей документации на монтаж системы оповещения и управления эвакуацией (СОУЭ)</t>
  </si>
  <si>
    <t>Разработка рабочей документации на монтаж системы пожарной сигнализации (СПС)</t>
  </si>
  <si>
    <t>ООО "КРЕДИНФОРМ СЕВЕРО-ЗАПАД"</t>
  </si>
  <si>
    <t>ООО "ГЕЙЗЕР"</t>
  </si>
  <si>
    <t>НТГ/БОД/2024-133</t>
  </si>
  <si>
    <t>НТГ/БОД/2024-138</t>
  </si>
  <si>
    <t>НТГ/БОД/2024-139</t>
  </si>
  <si>
    <t>НТГ/БОД/2024-140</t>
  </si>
  <si>
    <t>Оформ. док. для въезда ин. граждан</t>
  </si>
  <si>
    <t>НТГ/БОД/2024-142</t>
  </si>
  <si>
    <t>НТГ/БОД/2024-141</t>
  </si>
  <si>
    <t>Поставка контейнеров для мусора</t>
  </si>
  <si>
    <t>ООО "ФЕЛИКС-КРАСНОЯРСК"</t>
  </si>
  <si>
    <t>ООО "ТЕХНО-СЕРВИС"</t>
  </si>
  <si>
    <t>197/2024-ДП 1</t>
  </si>
  <si>
    <t>224/2024-ДП 1</t>
  </si>
  <si>
    <t>59/2024-ДП 3</t>
  </si>
  <si>
    <t>157/2024-ДП 2</t>
  </si>
  <si>
    <t>157/2024-ДП 4</t>
  </si>
  <si>
    <t>157/2024-ДП 5</t>
  </si>
  <si>
    <t>161/2024-ДП 3</t>
  </si>
  <si>
    <t>42/2024-ДП 4</t>
  </si>
  <si>
    <t>95/2024-ДП 1</t>
  </si>
  <si>
    <t>Поставка материалов, ЗИП к сетевому и сервисному оборудованию</t>
  </si>
  <si>
    <t>ООО ТК "УРАЛСЕРВИСЗАПЧАСТЬ"</t>
  </si>
  <si>
    <t>ООО ТД "СТАВРОПОЛЬХИМСТРОЙ"</t>
  </si>
  <si>
    <t>ООО ТД "МОНОЛИТ"</t>
  </si>
  <si>
    <t>ООО "ЭспаСа"</t>
  </si>
  <si>
    <t>ООО "ТЕХНИКА И ЗАПЧАСТИ"</t>
  </si>
  <si>
    <t>ООО "СОДАЛ"</t>
  </si>
  <si>
    <t>ООО "СЕВЕРНАЯ ВОДА"</t>
  </si>
  <si>
    <t>ООО "САМПЛЕКС"</t>
  </si>
  <si>
    <t>ООО "РАЙС"</t>
  </si>
  <si>
    <t>ООО "ПК"СГС"</t>
  </si>
  <si>
    <t>ООО "ОФИС-ГИД"</t>
  </si>
  <si>
    <t>ООО "ИЗМЕРИТЕЛЬНЫЕ СИСТЕМЫ"</t>
  </si>
  <si>
    <t>ООО "ВОССМЕСИ"</t>
  </si>
  <si>
    <t>ООО "ВН ТЕХНОЛОГИИ"</t>
  </si>
  <si>
    <t>ООО "АРТЕМИДА"</t>
  </si>
  <si>
    <t>АО "ТД РЕЗИНОТЕХНИКА"</t>
  </si>
  <si>
    <t>АО "КРЕАЛ"</t>
  </si>
  <si>
    <t>344/2024</t>
  </si>
  <si>
    <t>386/2024</t>
  </si>
  <si>
    <t>337/2024</t>
  </si>
  <si>
    <t>364/2024</t>
  </si>
  <si>
    <t>371/2024</t>
  </si>
  <si>
    <t>264/2024</t>
  </si>
  <si>
    <t>352/2024</t>
  </si>
  <si>
    <t>387/2024</t>
  </si>
  <si>
    <t>338/2024</t>
  </si>
  <si>
    <t>374/2024</t>
  </si>
  <si>
    <t>351/2024</t>
  </si>
  <si>
    <t>353/2024</t>
  </si>
  <si>
    <t>354/2024</t>
  </si>
  <si>
    <t>388/2024</t>
  </si>
  <si>
    <t>410/2024</t>
  </si>
  <si>
    <t>383/2024</t>
  </si>
  <si>
    <t>406/2024</t>
  </si>
  <si>
    <t>372/2024</t>
  </si>
  <si>
    <t>412/2024</t>
  </si>
  <si>
    <t>404/2024</t>
  </si>
  <si>
    <t>380/2024</t>
  </si>
  <si>
    <t>396/2024</t>
  </si>
  <si>
    <t>373/2024</t>
  </si>
  <si>
    <t>367/2024</t>
  </si>
  <si>
    <t>369/2024</t>
  </si>
  <si>
    <t>408/2024</t>
  </si>
  <si>
    <t>407/2024</t>
  </si>
  <si>
    <t>345/2024</t>
  </si>
  <si>
    <t>349/2024</t>
  </si>
  <si>
    <t>Аренда ЗУ:394 для обустройства и эксплуатации зимней дороги (зимник)</t>
  </si>
  <si>
    <t>397/2024</t>
  </si>
  <si>
    <t>384/2024 / ЕРП-2024/847</t>
  </si>
  <si>
    <t>385/2024 / ЕРП-2024/848</t>
  </si>
  <si>
    <t>392/2024 / ЕРП-2024/850</t>
  </si>
  <si>
    <t>УПРАВЛЕНИЕ ИМУЩЕСТВЕННЫХ ОТНОШЕНИЙМУНИЦИПАЛЬНОГО РАЙОНА</t>
  </si>
  <si>
    <t>АО "ЕРП"</t>
  </si>
  <si>
    <t>Соглашение об установлении сервитута на ЗУ :56</t>
  </si>
  <si>
    <t>Соглашение об установление сервитута на ЗУ 24:55:0404006:70</t>
  </si>
  <si>
    <t>359/2024</t>
  </si>
  <si>
    <t>360/2024</t>
  </si>
  <si>
    <t>реклама СМИ</t>
  </si>
  <si>
    <t>Оказание услуг по выездной вакцинации</t>
  </si>
  <si>
    <t>Кап.ремонт двух дв. АИ-20 и навесн.обор.</t>
  </si>
  <si>
    <t>Возм.оказ.услуг по конфиг.и настр. ПО</t>
  </si>
  <si>
    <t>Сервис. обслж. прит.вытяж.систем</t>
  </si>
  <si>
    <t>Оказание услуг по разработке макетов полиграф. продукции</t>
  </si>
  <si>
    <t>ООО "СМК "ПРАЙД"</t>
  </si>
  <si>
    <t>ООО "СМАРТ-РЕГИОН"</t>
  </si>
  <si>
    <t>ООО "КЦЗ "НОРНИКЕЛЬ"</t>
  </si>
  <si>
    <t>ООО "КРМ"</t>
  </si>
  <si>
    <t>ООО "ИЦ ВНИИСТ"</t>
  </si>
  <si>
    <t>ООО "Ай Ти Ви групп"</t>
  </si>
  <si>
    <t>АСАНОВИЧ МАКСИМ Анатольевич</t>
  </si>
  <si>
    <t>АЛЕКСАНДРОВ АЛЕКСАНДР ЛЬВОВИЧ</t>
  </si>
  <si>
    <t>400/2024</t>
  </si>
  <si>
    <t>343/2024</t>
  </si>
  <si>
    <t>399/2024</t>
  </si>
  <si>
    <t>376/2024</t>
  </si>
  <si>
    <t>366/2024</t>
  </si>
  <si>
    <t>346/2024</t>
  </si>
  <si>
    <t>390/2024 / ЕРП-2024/849</t>
  </si>
  <si>
    <t>393/2024 / ЕРП-2024/851</t>
  </si>
  <si>
    <t>295/2024</t>
  </si>
  <si>
    <t>Поставка хозяйственных товаров</t>
  </si>
  <si>
    <t>Поставка сертифицированных защищенных носителей Рутокен Лайт</t>
  </si>
  <si>
    <t>Поставка сувенирной продукции</t>
  </si>
  <si>
    <t xml:space="preserve">Поставка сувенирной продукции </t>
  </si>
  <si>
    <t>Поставка бытовых электроприборов</t>
  </si>
  <si>
    <t xml:space="preserve">Поставка электроагрегата, разъединителей </t>
  </si>
  <si>
    <t xml:space="preserve">Поставка георешетки, геомембран </t>
  </si>
  <si>
    <t>Поставка гаражного оборудования</t>
  </si>
  <si>
    <t>Поставка аккумуляторов, блоков питания</t>
  </si>
  <si>
    <t>Поставка контрольно-измерительных приборов</t>
  </si>
  <si>
    <t xml:space="preserve">Поставка здания мобильного </t>
  </si>
  <si>
    <t xml:space="preserve">Поставка трубы </t>
  </si>
  <si>
    <t xml:space="preserve">Поставка запчастей к а/м Урал, двигателям ЯМЗ </t>
  </si>
  <si>
    <t>Поставка запчастей к авто КАМАЗ</t>
  </si>
  <si>
    <t>Поставка запчастей к вездеходам</t>
  </si>
  <si>
    <t xml:space="preserve">Поставка инструментов </t>
  </si>
  <si>
    <t>Поставка комплекса передвижного</t>
  </si>
  <si>
    <t xml:space="preserve">Поставка погрузчика </t>
  </si>
  <si>
    <t xml:space="preserve">Поставка запчастей к тракторам </t>
  </si>
  <si>
    <t xml:space="preserve">Поставка материалов для откачки метанола </t>
  </si>
  <si>
    <t>Поставка генератора, нагревателя</t>
  </si>
  <si>
    <t xml:space="preserve">Поставка воды питьевой </t>
  </si>
  <si>
    <t xml:space="preserve">Поставка свай </t>
  </si>
  <si>
    <t>Поставка источников бесперебойного питания</t>
  </si>
  <si>
    <t xml:space="preserve">Поставка вентиляторов, дымососов, отопительных агрегатов </t>
  </si>
  <si>
    <t>Поставка трубопроводной арматуры</t>
  </si>
  <si>
    <t xml:space="preserve">Поставка канцтоваров </t>
  </si>
  <si>
    <t xml:space="preserve">Поставка котла водогрейного </t>
  </si>
  <si>
    <t xml:space="preserve">Поставка приборов контрольно-измерительных, АСУ ТП, комплектующих и ЗИП </t>
  </si>
  <si>
    <t>Поставка МТР</t>
  </si>
  <si>
    <t>Поставка электроизмерительных приборов, реле, предохранителей</t>
  </si>
  <si>
    <t xml:space="preserve">Поставка бревна для столбов </t>
  </si>
  <si>
    <t>Поставка Блок-бокса, системы локализаций повреждений кабеля</t>
  </si>
  <si>
    <t xml:space="preserve">Поставка смеси сухой </t>
  </si>
  <si>
    <t xml:space="preserve">Поставка сварочного оборудования </t>
  </si>
  <si>
    <t>Поставка строительных материалов</t>
  </si>
  <si>
    <t>Поставка фанеры</t>
  </si>
  <si>
    <t>Поставка РТИ, ремней и рукавов</t>
  </si>
  <si>
    <t xml:space="preserve">Поставка станции насосной </t>
  </si>
  <si>
    <t>Техническое обслуживание и текущий ремонт</t>
  </si>
  <si>
    <t>Оказание услуг по ремонту створок окон ПВХ</t>
  </si>
  <si>
    <t xml:space="preserve">Оказание услуг по замеру качества воздуха </t>
  </si>
  <si>
    <t>Оказание услуг по ремонту автомобиля</t>
  </si>
  <si>
    <t xml:space="preserve">СМР </t>
  </si>
  <si>
    <t>РНИ</t>
  </si>
  <si>
    <t>Капитальный ремонт</t>
  </si>
  <si>
    <t xml:space="preserve">Выполнение ПИР </t>
  </si>
  <si>
    <t xml:space="preserve">Аренда судна (с экипажем) </t>
  </si>
  <si>
    <t xml:space="preserve">Оказание услуг по организации перевозок грузов </t>
  </si>
  <si>
    <t>Оказание услуг по буксировке КПЛов</t>
  </si>
  <si>
    <t xml:space="preserve"> 347/2024</t>
  </si>
  <si>
    <t>368/2024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</si>
</sst>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FFFFCC"/>
      <color rgb="FFFFCCFF"/>
      <color rgb="FF9999FF"/>
      <color rgb="FF99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Z90"/>
  <sheetViews>
    <sheetView tabSelected="1" zoomScale="70" zoomScaleNormal="70" workbookViewId="0">
      <pane xSplit="1" ySplit="9" topLeftCell="E78" activePane="bottomRight" state="frozen"/>
      <selection pane="topRight" activeCell="B1" sqref="B1"/>
      <selection pane="bottomLeft" activeCell="A15" sqref="A15"/>
      <selection pane="bottomRight" activeCell="A91" sqref="A91"/>
    </sheetView>
  </sheetViews>
  <sheetFormatPr defaultColWidth="9.140625" defaultRowHeight="15" x14ac:dyDescent="0.25"/>
  <cols>
    <col min="1" max="1" width="6.42578125" style="9" customWidth="1"/>
    <col min="2" max="2" width="15.28515625" style="6" customWidth="1"/>
    <col min="3" max="3" width="11.85546875" style="6" customWidth="1"/>
    <col min="4" max="4" width="13" style="6" customWidth="1"/>
    <col min="5" max="5" width="11.42578125" style="6" customWidth="1"/>
    <col min="6" max="6" width="11.7109375" style="6" customWidth="1"/>
    <col min="7" max="7" width="12.5703125" style="6" customWidth="1"/>
    <col min="8" max="8" width="12.140625" style="6" customWidth="1"/>
    <col min="9" max="9" width="14" style="6" customWidth="1"/>
    <col min="10" max="10" width="15.5703125" style="6" customWidth="1"/>
    <col min="11" max="11" width="15" style="6" customWidth="1"/>
    <col min="12" max="12" width="15.28515625" style="6" customWidth="1"/>
    <col min="13" max="13" width="16.42578125" style="6" customWidth="1"/>
    <col min="14" max="14" width="15.140625" style="6" customWidth="1"/>
    <col min="15" max="15" width="12.7109375" style="6" customWidth="1"/>
    <col min="16" max="16" width="57.42578125" style="6" customWidth="1"/>
    <col min="17" max="17" width="16.5703125" style="6" customWidth="1"/>
    <col min="18" max="18" width="12.140625" style="6" customWidth="1"/>
    <col min="19" max="19" width="12.28515625" style="6" customWidth="1"/>
    <col min="20" max="20" width="18.7109375" style="6" customWidth="1"/>
    <col min="21" max="21" width="45" style="6" customWidth="1"/>
    <col min="22" max="22" width="25.28515625" style="6" hidden="1" customWidth="1"/>
    <col min="23" max="23" width="16.7109375" style="6" customWidth="1"/>
    <col min="24" max="16384" width="9.140625" style="6"/>
  </cols>
  <sheetData>
    <row r="1" spans="1:208" ht="15" customHeight="1" x14ac:dyDescent="0.25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08" ht="14.4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08" ht="25.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08" s="13" customFormat="1" ht="15.6" customHeight="1" x14ac:dyDescent="0.2">
      <c r="A4" s="22" t="s">
        <v>17</v>
      </c>
      <c r="B4" s="22" t="s">
        <v>18</v>
      </c>
      <c r="C4" s="22" t="s">
        <v>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 t="s">
        <v>11</v>
      </c>
      <c r="Q4" s="22" t="s">
        <v>12</v>
      </c>
      <c r="R4" s="22" t="s">
        <v>13</v>
      </c>
      <c r="S4" s="22" t="s">
        <v>14</v>
      </c>
      <c r="T4" s="22" t="s">
        <v>15</v>
      </c>
      <c r="U4" s="22" t="s">
        <v>16</v>
      </c>
      <c r="V4" s="22" t="s">
        <v>29</v>
      </c>
    </row>
    <row r="5" spans="1:208" s="13" customFormat="1" ht="15.6" customHeight="1" x14ac:dyDescent="0.2">
      <c r="A5" s="22"/>
      <c r="B5" s="22"/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 t="s">
        <v>8</v>
      </c>
      <c r="O5" s="22"/>
      <c r="P5" s="22"/>
      <c r="Q5" s="22"/>
      <c r="R5" s="22"/>
      <c r="S5" s="22"/>
      <c r="T5" s="22"/>
      <c r="U5" s="22"/>
      <c r="V5" s="22"/>
    </row>
    <row r="6" spans="1:208" s="13" customFormat="1" ht="17.45" customHeight="1" x14ac:dyDescent="0.2">
      <c r="A6" s="22"/>
      <c r="B6" s="22"/>
      <c r="C6" s="22" t="s">
        <v>2</v>
      </c>
      <c r="D6" s="22"/>
      <c r="E6" s="22"/>
      <c r="F6" s="22"/>
      <c r="G6" s="22"/>
      <c r="H6" s="22"/>
      <c r="I6" s="22"/>
      <c r="J6" s="22"/>
      <c r="K6" s="22"/>
      <c r="L6" s="22"/>
      <c r="M6" s="22" t="s">
        <v>7</v>
      </c>
      <c r="N6" s="22"/>
      <c r="O6" s="22"/>
      <c r="P6" s="22"/>
      <c r="Q6" s="22"/>
      <c r="R6" s="22"/>
      <c r="S6" s="22"/>
      <c r="T6" s="22"/>
      <c r="U6" s="22"/>
      <c r="V6" s="22"/>
    </row>
    <row r="7" spans="1:208" s="13" customFormat="1" ht="30" customHeight="1" x14ac:dyDescent="0.2">
      <c r="A7" s="22"/>
      <c r="B7" s="22"/>
      <c r="C7" s="22" t="s">
        <v>3</v>
      </c>
      <c r="D7" s="22"/>
      <c r="E7" s="22"/>
      <c r="F7" s="22" t="s">
        <v>4</v>
      </c>
      <c r="G7" s="22"/>
      <c r="H7" s="22"/>
      <c r="I7" s="22" t="s">
        <v>5</v>
      </c>
      <c r="J7" s="22"/>
      <c r="K7" s="22" t="s">
        <v>6</v>
      </c>
      <c r="L7" s="22"/>
      <c r="M7" s="22"/>
      <c r="N7" s="22" t="s">
        <v>9</v>
      </c>
      <c r="O7" s="22" t="s">
        <v>10</v>
      </c>
      <c r="P7" s="22"/>
      <c r="Q7" s="22"/>
      <c r="R7" s="22"/>
      <c r="S7" s="22"/>
      <c r="T7" s="22"/>
      <c r="U7" s="22"/>
      <c r="V7" s="22"/>
    </row>
    <row r="8" spans="1:208" s="13" customFormat="1" ht="86.45" customHeight="1" x14ac:dyDescent="0.2">
      <c r="A8" s="22"/>
      <c r="B8" s="22"/>
      <c r="C8" s="14" t="s">
        <v>19</v>
      </c>
      <c r="D8" s="14" t="s">
        <v>20</v>
      </c>
      <c r="E8" s="14" t="s">
        <v>21</v>
      </c>
      <c r="F8" s="14" t="s">
        <v>22</v>
      </c>
      <c r="G8" s="14" t="s">
        <v>23</v>
      </c>
      <c r="H8" s="14" t="s">
        <v>24</v>
      </c>
      <c r="I8" s="14" t="s">
        <v>25</v>
      </c>
      <c r="J8" s="14" t="s">
        <v>26</v>
      </c>
      <c r="K8" s="14" t="s">
        <v>27</v>
      </c>
      <c r="L8" s="14" t="s">
        <v>28</v>
      </c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08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7">
        <v>19</v>
      </c>
      <c r="T9" s="7">
        <v>20</v>
      </c>
      <c r="U9" s="7">
        <v>21</v>
      </c>
      <c r="V9" s="8">
        <v>23</v>
      </c>
    </row>
    <row r="10" spans="1:208" s="1" customFormat="1" ht="30" customHeight="1" x14ac:dyDescent="0.25">
      <c r="A10" s="25" t="s">
        <v>35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08" s="2" customFormat="1" ht="39.950000000000003" customHeight="1" x14ac:dyDescent="0.25">
      <c r="A11" s="2">
        <v>1</v>
      </c>
      <c r="B11" s="11">
        <v>45448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 t="s">
        <v>188</v>
      </c>
      <c r="Q11" s="10">
        <f>81654.17/1000</f>
        <v>81.654169999999993</v>
      </c>
      <c r="R11" s="2" t="s">
        <v>33</v>
      </c>
      <c r="S11" s="2">
        <v>1</v>
      </c>
      <c r="T11" s="10">
        <f>Q11</f>
        <v>81.654169999999993</v>
      </c>
      <c r="U11" s="2" t="s">
        <v>51</v>
      </c>
      <c r="V11" s="12" t="s">
        <v>53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5"/>
    </row>
    <row r="12" spans="1:208" s="2" customFormat="1" ht="39.950000000000003" customHeight="1" x14ac:dyDescent="0.25">
      <c r="A12" s="2">
        <v>2</v>
      </c>
      <c r="B12" s="11">
        <v>45453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 t="s">
        <v>189</v>
      </c>
      <c r="Q12" s="10">
        <f>98670/1000</f>
        <v>98.67</v>
      </c>
      <c r="R12" s="2" t="s">
        <v>33</v>
      </c>
      <c r="S12" s="2">
        <v>1</v>
      </c>
      <c r="T12" s="10">
        <f t="shared" ref="T12:T43" si="0">Q12</f>
        <v>98.67</v>
      </c>
      <c r="U12" s="2" t="s">
        <v>52</v>
      </c>
      <c r="V12" s="12" t="s">
        <v>54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5"/>
    </row>
    <row r="13" spans="1:208" s="2" customFormat="1" ht="39.950000000000003" customHeight="1" x14ac:dyDescent="0.25">
      <c r="A13" s="2">
        <v>3</v>
      </c>
      <c r="B13" s="11">
        <v>45469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 t="s">
        <v>190</v>
      </c>
      <c r="Q13" s="10">
        <f>83200/1000</f>
        <v>83.2</v>
      </c>
      <c r="R13" s="2" t="s">
        <v>33</v>
      </c>
      <c r="S13" s="2">
        <v>1</v>
      </c>
      <c r="T13" s="10">
        <f t="shared" si="0"/>
        <v>83.2</v>
      </c>
      <c r="U13" s="2" t="s">
        <v>62</v>
      </c>
      <c r="V13" s="12" t="s">
        <v>57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5"/>
    </row>
    <row r="14" spans="1:208" s="2" customFormat="1" ht="39.950000000000003" customHeight="1" x14ac:dyDescent="0.25">
      <c r="A14" s="2">
        <v>4</v>
      </c>
      <c r="B14" s="11">
        <v>45468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 t="s">
        <v>191</v>
      </c>
      <c r="Q14" s="10">
        <f>83124.75/1000</f>
        <v>83.124750000000006</v>
      </c>
      <c r="R14" s="2" t="s">
        <v>33</v>
      </c>
      <c r="S14" s="2">
        <v>1</v>
      </c>
      <c r="T14" s="10">
        <f t="shared" si="0"/>
        <v>83.124750000000006</v>
      </c>
      <c r="U14" s="2" t="s">
        <v>63</v>
      </c>
      <c r="V14" s="12" t="s">
        <v>58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5"/>
    </row>
    <row r="15" spans="1:208" s="2" customFormat="1" ht="39.950000000000003" customHeight="1" x14ac:dyDescent="0.25">
      <c r="A15" s="2">
        <v>5</v>
      </c>
      <c r="B15" s="11">
        <v>45469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 t="s">
        <v>190</v>
      </c>
      <c r="Q15" s="10">
        <f>81250/1000</f>
        <v>81.25</v>
      </c>
      <c r="R15" s="2" t="s">
        <v>33</v>
      </c>
      <c r="S15" s="2">
        <v>1</v>
      </c>
      <c r="T15" s="10">
        <f t="shared" si="0"/>
        <v>81.25</v>
      </c>
      <c r="U15" s="2" t="s">
        <v>64</v>
      </c>
      <c r="V15" s="12" t="s">
        <v>59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5"/>
    </row>
    <row r="16" spans="1:208" s="2" customFormat="1" ht="39.950000000000003" customHeight="1" x14ac:dyDescent="0.25">
      <c r="A16" s="2">
        <v>6</v>
      </c>
      <c r="B16" s="11">
        <v>45469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 t="s">
        <v>55</v>
      </c>
      <c r="Q16" s="10">
        <f>84010/1000</f>
        <v>84.01</v>
      </c>
      <c r="R16" s="2" t="s">
        <v>33</v>
      </c>
      <c r="S16" s="2">
        <v>1</v>
      </c>
      <c r="T16" s="10">
        <f t="shared" si="0"/>
        <v>84.01</v>
      </c>
      <c r="U16" s="2" t="s">
        <v>65</v>
      </c>
      <c r="V16" s="12" t="s">
        <v>60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</row>
    <row r="17" spans="1:207" s="2" customFormat="1" ht="39.950000000000003" customHeight="1" x14ac:dyDescent="0.25">
      <c r="A17" s="2">
        <v>7</v>
      </c>
      <c r="B17" s="11">
        <v>45448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0</v>
      </c>
      <c r="P17" s="2" t="s">
        <v>56</v>
      </c>
      <c r="Q17" s="10">
        <f>100000/1000</f>
        <v>100</v>
      </c>
      <c r="R17" s="2" t="s">
        <v>33</v>
      </c>
      <c r="S17" s="2">
        <v>1</v>
      </c>
      <c r="T17" s="10">
        <f t="shared" si="0"/>
        <v>100</v>
      </c>
      <c r="U17" s="2" t="s">
        <v>66</v>
      </c>
      <c r="V17" s="12" t="s">
        <v>61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</row>
    <row r="18" spans="1:207" s="2" customFormat="1" ht="39.950000000000003" customHeight="1" x14ac:dyDescent="0.25">
      <c r="A18" s="2">
        <v>8</v>
      </c>
      <c r="B18" s="11">
        <v>45450</v>
      </c>
      <c r="C18" s="2">
        <v>0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 t="s">
        <v>192</v>
      </c>
      <c r="Q18" s="10">
        <f>767663.9/1000</f>
        <v>767.66390000000001</v>
      </c>
      <c r="R18" s="2" t="s">
        <v>33</v>
      </c>
      <c r="S18" s="2">
        <v>1</v>
      </c>
      <c r="T18" s="10">
        <f t="shared" si="0"/>
        <v>767.66390000000001</v>
      </c>
      <c r="U18" s="2" t="s">
        <v>96</v>
      </c>
      <c r="V18" s="12" t="s">
        <v>98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</row>
    <row r="19" spans="1:207" s="2" customFormat="1" ht="39.950000000000003" customHeight="1" x14ac:dyDescent="0.25">
      <c r="A19" s="2">
        <v>9</v>
      </c>
      <c r="B19" s="11">
        <v>45454</v>
      </c>
      <c r="C19" s="2">
        <v>0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 t="s">
        <v>193</v>
      </c>
      <c r="Q19" s="10">
        <f>624265.72/1000</f>
        <v>624.26571999999999</v>
      </c>
      <c r="R19" s="2" t="s">
        <v>33</v>
      </c>
      <c r="S19" s="2">
        <v>1</v>
      </c>
      <c r="T19" s="10">
        <f t="shared" si="0"/>
        <v>624.26571999999999</v>
      </c>
      <c r="U19" s="2" t="s">
        <v>38</v>
      </c>
      <c r="V19" s="12" t="s">
        <v>99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</row>
    <row r="20" spans="1:207" s="2" customFormat="1" ht="39.950000000000003" customHeight="1" x14ac:dyDescent="0.25">
      <c r="A20" s="2">
        <v>10</v>
      </c>
      <c r="B20" s="11">
        <v>45450</v>
      </c>
      <c r="C20" s="2">
        <v>0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 t="s">
        <v>194</v>
      </c>
      <c r="Q20" s="10">
        <f>2231960/1000</f>
        <v>2231.96</v>
      </c>
      <c r="R20" s="2" t="s">
        <v>33</v>
      </c>
      <c r="S20" s="2">
        <v>1</v>
      </c>
      <c r="T20" s="10">
        <f t="shared" si="0"/>
        <v>2231.96</v>
      </c>
      <c r="U20" s="2" t="s">
        <v>97</v>
      </c>
      <c r="V20" s="12" t="s">
        <v>100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</row>
    <row r="21" spans="1:207" s="2" customFormat="1" ht="39.950000000000003" customHeight="1" x14ac:dyDescent="0.25">
      <c r="A21" s="2">
        <v>11</v>
      </c>
      <c r="B21" s="11">
        <v>45456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 t="s">
        <v>195</v>
      </c>
      <c r="Q21" s="10">
        <f>1065000/1000</f>
        <v>1065</v>
      </c>
      <c r="R21" s="2" t="s">
        <v>33</v>
      </c>
      <c r="S21" s="2">
        <v>1</v>
      </c>
      <c r="T21" s="10">
        <f t="shared" si="0"/>
        <v>1065</v>
      </c>
      <c r="U21" s="2" t="s">
        <v>42</v>
      </c>
      <c r="V21" s="12" t="s">
        <v>101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</row>
    <row r="22" spans="1:207" s="2" customFormat="1" ht="39.950000000000003" customHeight="1" x14ac:dyDescent="0.25">
      <c r="A22" s="2">
        <v>12</v>
      </c>
      <c r="B22" s="11">
        <v>45471</v>
      </c>
      <c r="C22" s="2">
        <v>0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 t="s">
        <v>95</v>
      </c>
      <c r="Q22" s="10">
        <f>1788700/1000</f>
        <v>1788.7</v>
      </c>
      <c r="R22" s="2" t="s">
        <v>33</v>
      </c>
      <c r="S22" s="2">
        <v>1</v>
      </c>
      <c r="T22" s="10">
        <f t="shared" si="0"/>
        <v>1788.7</v>
      </c>
      <c r="U22" s="2" t="s">
        <v>42</v>
      </c>
      <c r="V22" s="12" t="s">
        <v>102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</row>
    <row r="23" spans="1:207" s="2" customFormat="1" ht="39.950000000000003" customHeight="1" x14ac:dyDescent="0.25">
      <c r="A23" s="2">
        <v>13</v>
      </c>
      <c r="B23" s="11">
        <v>45471</v>
      </c>
      <c r="C23" s="2">
        <v>0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 t="s">
        <v>196</v>
      </c>
      <c r="Q23" s="10">
        <f>1423633/1000</f>
        <v>1423.633</v>
      </c>
      <c r="R23" s="2" t="s">
        <v>33</v>
      </c>
      <c r="S23" s="2">
        <v>1</v>
      </c>
      <c r="T23" s="10">
        <f t="shared" si="0"/>
        <v>1423.633</v>
      </c>
      <c r="U23" s="2" t="s">
        <v>42</v>
      </c>
      <c r="V23" s="12" t="s">
        <v>103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</row>
    <row r="24" spans="1:207" s="2" customFormat="1" ht="39.950000000000003" customHeight="1" x14ac:dyDescent="0.25">
      <c r="A24" s="2">
        <v>14</v>
      </c>
      <c r="B24" s="11">
        <v>45453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 t="s">
        <v>197</v>
      </c>
      <c r="Q24" s="10">
        <f>6368158.5/1000</f>
        <v>6368.1584999999995</v>
      </c>
      <c r="R24" s="2" t="s">
        <v>33</v>
      </c>
      <c r="S24" s="2">
        <v>1</v>
      </c>
      <c r="T24" s="10">
        <f t="shared" si="0"/>
        <v>6368.1584999999995</v>
      </c>
      <c r="U24" s="2" t="s">
        <v>37</v>
      </c>
      <c r="V24" s="12" t="s">
        <v>104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</row>
    <row r="25" spans="1:207" s="2" customFormat="1" ht="39.950000000000003" customHeight="1" x14ac:dyDescent="0.25">
      <c r="A25" s="2">
        <v>15</v>
      </c>
      <c r="B25" s="11">
        <v>45456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 t="s">
        <v>198</v>
      </c>
      <c r="Q25" s="10">
        <f>3600000/1000</f>
        <v>3600</v>
      </c>
      <c r="R25" s="2" t="s">
        <v>33</v>
      </c>
      <c r="S25" s="2">
        <v>1</v>
      </c>
      <c r="T25" s="10">
        <f t="shared" si="0"/>
        <v>3600</v>
      </c>
      <c r="U25" s="2" t="s">
        <v>40</v>
      </c>
      <c r="V25" s="12" t="s">
        <v>105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</row>
    <row r="26" spans="1:207" s="2" customFormat="1" ht="39.950000000000003" customHeight="1" x14ac:dyDescent="0.25">
      <c r="A26" s="2">
        <v>16</v>
      </c>
      <c r="B26" s="11">
        <v>45471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 t="s">
        <v>199</v>
      </c>
      <c r="Q26" s="10">
        <f>182955389.34/1000</f>
        <v>182955.38933999999</v>
      </c>
      <c r="R26" s="2" t="s">
        <v>33</v>
      </c>
      <c r="S26" s="2">
        <v>1</v>
      </c>
      <c r="T26" s="10">
        <f t="shared" si="0"/>
        <v>182955.38933999999</v>
      </c>
      <c r="U26" s="2" t="s">
        <v>46</v>
      </c>
      <c r="V26" s="12" t="s">
        <v>106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</row>
    <row r="27" spans="1:207" s="2" customFormat="1" ht="39.950000000000003" customHeight="1" x14ac:dyDescent="0.25">
      <c r="A27" s="2">
        <v>17</v>
      </c>
      <c r="B27" s="11">
        <v>45456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 t="s">
        <v>200</v>
      </c>
      <c r="Q27" s="10">
        <f>2584289/1000</f>
        <v>2584.2890000000002</v>
      </c>
      <c r="R27" s="2" t="s">
        <v>33</v>
      </c>
      <c r="S27" s="2">
        <v>1</v>
      </c>
      <c r="T27" s="10">
        <f t="shared" si="0"/>
        <v>2584.2890000000002</v>
      </c>
      <c r="U27" s="2" t="s">
        <v>108</v>
      </c>
      <c r="V27" s="12" t="s">
        <v>125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</row>
    <row r="28" spans="1:207" s="2" customFormat="1" ht="39.950000000000003" customHeight="1" x14ac:dyDescent="0.25">
      <c r="A28" s="2">
        <v>18</v>
      </c>
      <c r="B28" s="11">
        <v>45469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 t="s">
        <v>201</v>
      </c>
      <c r="Q28" s="10">
        <f>2161385/1000</f>
        <v>2161.3850000000002</v>
      </c>
      <c r="R28" s="2" t="s">
        <v>33</v>
      </c>
      <c r="S28" s="2">
        <v>1</v>
      </c>
      <c r="T28" s="10">
        <f t="shared" si="0"/>
        <v>2161.3850000000002</v>
      </c>
      <c r="U28" s="2" t="s">
        <v>108</v>
      </c>
      <c r="V28" s="12" t="s">
        <v>126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</row>
    <row r="29" spans="1:207" s="2" customFormat="1" ht="39.950000000000003" customHeight="1" x14ac:dyDescent="0.25">
      <c r="A29" s="2">
        <v>19</v>
      </c>
      <c r="B29" s="11">
        <v>45447</v>
      </c>
      <c r="C29" s="2">
        <v>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 t="s">
        <v>202</v>
      </c>
      <c r="Q29" s="10">
        <f>5967214.29/1000</f>
        <v>5967.2142899999999</v>
      </c>
      <c r="R29" s="2" t="s">
        <v>33</v>
      </c>
      <c r="S29" s="2">
        <v>1</v>
      </c>
      <c r="T29" s="10">
        <f t="shared" si="0"/>
        <v>5967.2142899999999</v>
      </c>
      <c r="U29" s="2" t="s">
        <v>109</v>
      </c>
      <c r="V29" s="12" t="s">
        <v>127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</row>
    <row r="30" spans="1:207" s="2" customFormat="1" ht="39.950000000000003" customHeight="1" x14ac:dyDescent="0.25">
      <c r="A30" s="2">
        <v>20</v>
      </c>
      <c r="B30" s="11">
        <v>45460</v>
      </c>
      <c r="C30" s="2">
        <v>0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 t="s">
        <v>203</v>
      </c>
      <c r="Q30" s="10">
        <f>4016685.3/1000</f>
        <v>4016.6852999999996</v>
      </c>
      <c r="R30" s="2" t="s">
        <v>33</v>
      </c>
      <c r="S30" s="2">
        <v>1</v>
      </c>
      <c r="T30" s="10">
        <f t="shared" si="0"/>
        <v>4016.6852999999996</v>
      </c>
      <c r="U30" s="2" t="s">
        <v>110</v>
      </c>
      <c r="V30" s="12" t="s">
        <v>128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</row>
    <row r="31" spans="1:207" s="2" customFormat="1" ht="39.950000000000003" customHeight="1" x14ac:dyDescent="0.25">
      <c r="A31" s="2">
        <v>21</v>
      </c>
      <c r="B31" s="11">
        <v>45465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 t="s">
        <v>204</v>
      </c>
      <c r="Q31" s="10">
        <f>15482926.37/1000</f>
        <v>15482.926369999999</v>
      </c>
      <c r="R31" s="2" t="s">
        <v>33</v>
      </c>
      <c r="S31" s="2">
        <v>1</v>
      </c>
      <c r="T31" s="10">
        <f t="shared" si="0"/>
        <v>15482.926369999999</v>
      </c>
      <c r="U31" s="2" t="s">
        <v>111</v>
      </c>
      <c r="V31" s="12" t="s">
        <v>129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</row>
    <row r="32" spans="1:207" s="2" customFormat="1" ht="39.950000000000003" customHeight="1" x14ac:dyDescent="0.25">
      <c r="A32" s="2">
        <v>22</v>
      </c>
      <c r="B32" s="11">
        <v>45446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 t="s">
        <v>205</v>
      </c>
      <c r="Q32" s="10">
        <f>18404962.75/1000</f>
        <v>18404.962749999999</v>
      </c>
      <c r="R32" s="2" t="s">
        <v>33</v>
      </c>
      <c r="S32" s="2">
        <v>1</v>
      </c>
      <c r="T32" s="10">
        <f t="shared" si="0"/>
        <v>18404.962749999999</v>
      </c>
      <c r="U32" s="2" t="s">
        <v>41</v>
      </c>
      <c r="V32" s="12" t="s">
        <v>130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</row>
    <row r="33" spans="1:207" s="2" customFormat="1" ht="39.950000000000003" customHeight="1" x14ac:dyDescent="0.25">
      <c r="A33" s="2">
        <v>23</v>
      </c>
      <c r="B33" s="11">
        <v>45456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 t="s">
        <v>206</v>
      </c>
      <c r="Q33" s="10">
        <f>4499098/1000</f>
        <v>4499.098</v>
      </c>
      <c r="R33" s="2" t="s">
        <v>33</v>
      </c>
      <c r="S33" s="2">
        <v>1</v>
      </c>
      <c r="T33" s="10">
        <f t="shared" si="0"/>
        <v>4499.098</v>
      </c>
      <c r="U33" s="2" t="s">
        <v>112</v>
      </c>
      <c r="V33" s="12" t="s">
        <v>131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</row>
    <row r="34" spans="1:207" s="2" customFormat="1" ht="39.950000000000003" customHeight="1" x14ac:dyDescent="0.25">
      <c r="A34" s="2">
        <v>24</v>
      </c>
      <c r="B34" s="11">
        <v>45468</v>
      </c>
      <c r="C34" s="2">
        <v>0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 t="s">
        <v>207</v>
      </c>
      <c r="Q34" s="10">
        <f>1327400/1000</f>
        <v>1327.4</v>
      </c>
      <c r="R34" s="2" t="s">
        <v>33</v>
      </c>
      <c r="S34" s="2">
        <v>1</v>
      </c>
      <c r="T34" s="10">
        <f t="shared" si="0"/>
        <v>1327.4</v>
      </c>
      <c r="U34" s="2" t="s">
        <v>113</v>
      </c>
      <c r="V34" s="12" t="s">
        <v>132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</row>
    <row r="35" spans="1:207" s="2" customFormat="1" ht="39.950000000000003" customHeight="1" x14ac:dyDescent="0.25">
      <c r="A35" s="2">
        <v>25</v>
      </c>
      <c r="B35" s="11">
        <v>45446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 t="s">
        <v>208</v>
      </c>
      <c r="Q35" s="10">
        <f>1400000/1000</f>
        <v>1400</v>
      </c>
      <c r="R35" s="2" t="s">
        <v>33</v>
      </c>
      <c r="S35" s="2">
        <v>1</v>
      </c>
      <c r="T35" s="10">
        <f t="shared" si="0"/>
        <v>1400</v>
      </c>
      <c r="U35" s="2" t="s">
        <v>113</v>
      </c>
      <c r="V35" s="12" t="s">
        <v>133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</row>
    <row r="36" spans="1:207" s="2" customFormat="1" ht="39.950000000000003" customHeight="1" x14ac:dyDescent="0.25">
      <c r="A36" s="2">
        <v>26</v>
      </c>
      <c r="B36" s="11">
        <v>45462</v>
      </c>
      <c r="C36" s="2">
        <v>0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 t="s">
        <v>209</v>
      </c>
      <c r="Q36" s="10">
        <f>1418415.69/1000</f>
        <v>1418.41569</v>
      </c>
      <c r="R36" s="2" t="s">
        <v>33</v>
      </c>
      <c r="S36" s="2">
        <v>1</v>
      </c>
      <c r="T36" s="10">
        <f t="shared" si="0"/>
        <v>1418.41569</v>
      </c>
      <c r="U36" s="2" t="s">
        <v>114</v>
      </c>
      <c r="V36" s="12" t="s">
        <v>134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</row>
    <row r="37" spans="1:207" s="2" customFormat="1" ht="39.950000000000003" customHeight="1" x14ac:dyDescent="0.25">
      <c r="A37" s="2">
        <v>27</v>
      </c>
      <c r="B37" s="11">
        <v>45456</v>
      </c>
      <c r="C37" s="2">
        <v>0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 t="s">
        <v>210</v>
      </c>
      <c r="Q37" s="10">
        <f>210000000/1000</f>
        <v>210000</v>
      </c>
      <c r="R37" s="2" t="s">
        <v>33</v>
      </c>
      <c r="S37" s="2">
        <v>1</v>
      </c>
      <c r="T37" s="10">
        <f t="shared" si="0"/>
        <v>210000</v>
      </c>
      <c r="U37" s="2" t="s">
        <v>115</v>
      </c>
      <c r="V37" s="2" t="s">
        <v>135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</row>
    <row r="38" spans="1:207" s="2" customFormat="1" ht="39.950000000000003" customHeight="1" x14ac:dyDescent="0.25">
      <c r="A38" s="2">
        <v>28</v>
      </c>
      <c r="B38" s="11">
        <v>45461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 t="s">
        <v>210</v>
      </c>
      <c r="Q38" s="10">
        <f>90000000/1000</f>
        <v>90000</v>
      </c>
      <c r="R38" s="2" t="s">
        <v>33</v>
      </c>
      <c r="S38" s="2">
        <v>1</v>
      </c>
      <c r="T38" s="10">
        <f t="shared" si="0"/>
        <v>90000</v>
      </c>
      <c r="U38" s="2" t="s">
        <v>115</v>
      </c>
      <c r="V38" s="2" t="s">
        <v>136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</row>
    <row r="39" spans="1:207" s="2" customFormat="1" ht="39.950000000000003" customHeight="1" x14ac:dyDescent="0.25">
      <c r="A39" s="2">
        <v>29</v>
      </c>
      <c r="B39" s="11">
        <v>45454</v>
      </c>
      <c r="C39" s="2">
        <v>0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 t="s">
        <v>211</v>
      </c>
      <c r="Q39" s="10">
        <f>242700/1000</f>
        <v>242.7</v>
      </c>
      <c r="R39" s="2" t="s">
        <v>33</v>
      </c>
      <c r="S39" s="2">
        <v>1</v>
      </c>
      <c r="T39" s="10">
        <f t="shared" si="0"/>
        <v>242.7</v>
      </c>
      <c r="U39" s="2" t="s">
        <v>116</v>
      </c>
      <c r="V39" s="2" t="s">
        <v>137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</row>
    <row r="40" spans="1:207" s="2" customFormat="1" ht="39.950000000000003" customHeight="1" x14ac:dyDescent="0.25">
      <c r="A40" s="2">
        <v>30</v>
      </c>
      <c r="B40" s="11">
        <v>45467</v>
      </c>
      <c r="C40" s="2">
        <v>0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 t="s">
        <v>212</v>
      </c>
      <c r="Q40" s="10">
        <f>811700/1000</f>
        <v>811.7</v>
      </c>
      <c r="R40" s="2" t="s">
        <v>33</v>
      </c>
      <c r="S40" s="2">
        <v>1</v>
      </c>
      <c r="T40" s="10">
        <f t="shared" si="0"/>
        <v>811.7</v>
      </c>
      <c r="U40" s="2" t="s">
        <v>116</v>
      </c>
      <c r="V40" s="2" t="s">
        <v>138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</row>
    <row r="41" spans="1:207" s="2" customFormat="1" ht="39.950000000000003" customHeight="1" x14ac:dyDescent="0.25">
      <c r="A41" s="2">
        <v>31</v>
      </c>
      <c r="B41" s="11">
        <v>45469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 t="s">
        <v>213</v>
      </c>
      <c r="Q41" s="10">
        <f>6980000/1000</f>
        <v>6980</v>
      </c>
      <c r="R41" s="2" t="s">
        <v>33</v>
      </c>
      <c r="S41" s="2">
        <v>1</v>
      </c>
      <c r="T41" s="10">
        <f t="shared" si="0"/>
        <v>6980</v>
      </c>
      <c r="U41" s="2" t="s">
        <v>117</v>
      </c>
      <c r="V41" s="2" t="s">
        <v>139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</row>
    <row r="42" spans="1:207" s="2" customFormat="1" ht="39.950000000000003" customHeight="1" x14ac:dyDescent="0.25">
      <c r="A42" s="2">
        <v>32</v>
      </c>
      <c r="B42" s="11">
        <v>45464</v>
      </c>
      <c r="C42" s="2">
        <v>0</v>
      </c>
      <c r="D42" s="2">
        <v>0</v>
      </c>
      <c r="E42" s="2">
        <v>0</v>
      </c>
      <c r="F42" s="2">
        <v>0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 t="s">
        <v>214</v>
      </c>
      <c r="Q42" s="10">
        <f>272205.29/1000</f>
        <v>272.20528999999999</v>
      </c>
      <c r="R42" s="2" t="s">
        <v>33</v>
      </c>
      <c r="S42" s="2">
        <v>1</v>
      </c>
      <c r="T42" s="10">
        <f t="shared" si="0"/>
        <v>272.20528999999999</v>
      </c>
      <c r="U42" s="2" t="s">
        <v>118</v>
      </c>
      <c r="V42" s="2" t="s">
        <v>140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</row>
    <row r="43" spans="1:207" s="2" customFormat="1" ht="39.950000000000003" customHeight="1" x14ac:dyDescent="0.25">
      <c r="A43" s="2">
        <v>33</v>
      </c>
      <c r="B43" s="11">
        <v>45471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 t="s">
        <v>215</v>
      </c>
      <c r="Q43" s="10">
        <f>2929733.33/1000</f>
        <v>2929.73333</v>
      </c>
      <c r="R43" s="2" t="s">
        <v>33</v>
      </c>
      <c r="S43" s="2">
        <v>1</v>
      </c>
      <c r="T43" s="10">
        <f t="shared" si="0"/>
        <v>2929.73333</v>
      </c>
      <c r="U43" s="2" t="s">
        <v>37</v>
      </c>
      <c r="V43" s="2" t="s">
        <v>141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</row>
    <row r="44" spans="1:207" s="2" customFormat="1" ht="39.950000000000003" customHeight="1" x14ac:dyDescent="0.25">
      <c r="A44" s="2">
        <v>34</v>
      </c>
      <c r="B44" s="11">
        <v>45462</v>
      </c>
      <c r="C44" s="2">
        <v>0</v>
      </c>
      <c r="D44" s="2">
        <v>0</v>
      </c>
      <c r="E44" s="2">
        <v>0</v>
      </c>
      <c r="F44" s="2">
        <v>0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 t="s">
        <v>107</v>
      </c>
      <c r="Q44" s="10">
        <f>1845875.88/1000</f>
        <v>1845.8758799999998</v>
      </c>
      <c r="R44" s="2" t="s">
        <v>32</v>
      </c>
      <c r="S44" s="2">
        <v>1</v>
      </c>
      <c r="T44" s="10">
        <f>Q44</f>
        <v>1845.8758799999998</v>
      </c>
      <c r="U44" s="2" t="s">
        <v>43</v>
      </c>
      <c r="V44" s="2" t="s">
        <v>142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</row>
    <row r="45" spans="1:207" s="2" customFormat="1" ht="39.950000000000003" customHeight="1" x14ac:dyDescent="0.25">
      <c r="A45" s="2">
        <v>35</v>
      </c>
      <c r="B45" s="11">
        <v>45471</v>
      </c>
      <c r="C45" s="2">
        <v>0</v>
      </c>
      <c r="D45" s="2">
        <v>0</v>
      </c>
      <c r="E45" s="2">
        <v>0</v>
      </c>
      <c r="F45" s="2">
        <v>0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 t="s">
        <v>216</v>
      </c>
      <c r="Q45" s="10">
        <f>1811921.62/1000</f>
        <v>1811.9216200000001</v>
      </c>
      <c r="R45" s="2" t="s">
        <v>32</v>
      </c>
      <c r="S45" s="2">
        <v>1</v>
      </c>
      <c r="T45" s="10">
        <f>Q45</f>
        <v>1811.9216200000001</v>
      </c>
      <c r="U45" s="2" t="s">
        <v>119</v>
      </c>
      <c r="V45" s="2" t="s">
        <v>143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</row>
    <row r="46" spans="1:207" s="2" customFormat="1" ht="39.950000000000003" customHeight="1" x14ac:dyDescent="0.25">
      <c r="A46" s="2">
        <v>36</v>
      </c>
      <c r="B46" s="11">
        <v>45468</v>
      </c>
      <c r="C46" s="2">
        <v>0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 t="s">
        <v>217</v>
      </c>
      <c r="Q46" s="10">
        <f>1511502.14/1000</f>
        <v>1511.5021399999998</v>
      </c>
      <c r="R46" s="2" t="s">
        <v>32</v>
      </c>
      <c r="S46" s="2">
        <v>1</v>
      </c>
      <c r="T46" s="10">
        <f>Q46</f>
        <v>1511.5021399999998</v>
      </c>
      <c r="U46" s="2" t="s">
        <v>44</v>
      </c>
      <c r="V46" s="2" t="s">
        <v>144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</row>
    <row r="47" spans="1:207" s="2" customFormat="1" ht="39.950000000000003" customHeight="1" x14ac:dyDescent="0.25">
      <c r="A47" s="2">
        <v>37</v>
      </c>
      <c r="B47" s="11">
        <v>45467</v>
      </c>
      <c r="C47" s="2">
        <v>0</v>
      </c>
      <c r="D47" s="2">
        <v>0</v>
      </c>
      <c r="E47" s="2">
        <v>0</v>
      </c>
      <c r="F47" s="2">
        <v>0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 t="s">
        <v>218</v>
      </c>
      <c r="Q47" s="10">
        <f>2517015.01/1000</f>
        <v>2517.0150099999996</v>
      </c>
      <c r="R47" s="2" t="s">
        <v>32</v>
      </c>
      <c r="S47" s="2">
        <v>1</v>
      </c>
      <c r="T47" s="10">
        <f>Q47</f>
        <v>2517.0150099999996</v>
      </c>
      <c r="U47" s="2" t="s">
        <v>44</v>
      </c>
      <c r="V47" s="2" t="s">
        <v>145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</row>
    <row r="48" spans="1:207" s="2" customFormat="1" ht="39.950000000000003" customHeight="1" x14ac:dyDescent="0.25">
      <c r="A48" s="2">
        <v>38</v>
      </c>
      <c r="B48" s="11">
        <v>45469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 t="s">
        <v>219</v>
      </c>
      <c r="Q48" s="10">
        <f>1389999.9/1000</f>
        <v>1389.9998999999998</v>
      </c>
      <c r="R48" s="2" t="s">
        <v>33</v>
      </c>
      <c r="S48" s="2">
        <v>1</v>
      </c>
      <c r="T48" s="10">
        <f t="shared" ref="T48:T54" si="1">Q48</f>
        <v>1389.9998999999998</v>
      </c>
      <c r="U48" s="2" t="s">
        <v>40</v>
      </c>
      <c r="V48" s="2" t="s">
        <v>146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</row>
    <row r="49" spans="1:207" s="2" customFormat="1" ht="39.950000000000003" customHeight="1" x14ac:dyDescent="0.25">
      <c r="A49" s="2">
        <v>39</v>
      </c>
      <c r="B49" s="11">
        <v>45463</v>
      </c>
      <c r="C49" s="2">
        <v>0</v>
      </c>
      <c r="D49" s="2">
        <v>0</v>
      </c>
      <c r="E49" s="2">
        <v>0</v>
      </c>
      <c r="F49" s="2">
        <v>0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 t="s">
        <v>220</v>
      </c>
      <c r="Q49" s="10">
        <f>3042818.11/1000</f>
        <v>3042.8181099999997</v>
      </c>
      <c r="R49" s="2" t="s">
        <v>33</v>
      </c>
      <c r="S49" s="2">
        <v>1</v>
      </c>
      <c r="T49" s="10">
        <f t="shared" si="1"/>
        <v>3042.8181099999997</v>
      </c>
      <c r="U49" s="2" t="s">
        <v>40</v>
      </c>
      <c r="V49" s="2" t="s">
        <v>147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</row>
    <row r="50" spans="1:207" s="2" customFormat="1" ht="39.950000000000003" customHeight="1" x14ac:dyDescent="0.25">
      <c r="A50" s="2">
        <v>40</v>
      </c>
      <c r="B50" s="11">
        <v>45461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 t="s">
        <v>221</v>
      </c>
      <c r="Q50" s="10">
        <f>20798206/1000</f>
        <v>20798.205999999998</v>
      </c>
      <c r="R50" s="2" t="s">
        <v>33</v>
      </c>
      <c r="S50" s="2">
        <v>1</v>
      </c>
      <c r="T50" s="10">
        <f t="shared" si="1"/>
        <v>20798.205999999998</v>
      </c>
      <c r="U50" s="2" t="s">
        <v>120</v>
      </c>
      <c r="V50" s="2" t="s">
        <v>148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</row>
    <row r="51" spans="1:207" s="2" customFormat="1" ht="39.950000000000003" customHeight="1" x14ac:dyDescent="0.25">
      <c r="A51" s="2">
        <v>41</v>
      </c>
      <c r="B51" s="11">
        <v>45460</v>
      </c>
      <c r="C51" s="2">
        <v>0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 t="s">
        <v>222</v>
      </c>
      <c r="Q51" s="10">
        <f>1523460.66/1000</f>
        <v>1523.46066</v>
      </c>
      <c r="R51" s="2" t="s">
        <v>33</v>
      </c>
      <c r="S51" s="2">
        <v>1</v>
      </c>
      <c r="T51" s="10">
        <f t="shared" si="1"/>
        <v>1523.46066</v>
      </c>
      <c r="U51" s="2" t="s">
        <v>121</v>
      </c>
      <c r="V51" s="2" t="s">
        <v>149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</row>
    <row r="52" spans="1:207" s="2" customFormat="1" ht="39.950000000000003" customHeight="1" x14ac:dyDescent="0.25">
      <c r="A52" s="2">
        <v>42</v>
      </c>
      <c r="B52" s="11">
        <v>45470</v>
      </c>
      <c r="C52" s="2">
        <v>0</v>
      </c>
      <c r="D52" s="2">
        <v>0</v>
      </c>
      <c r="E52" s="2">
        <v>0</v>
      </c>
      <c r="F52" s="2">
        <v>0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 t="s">
        <v>223</v>
      </c>
      <c r="Q52" s="10">
        <f>4800616.76/1000</f>
        <v>4800.6167599999999</v>
      </c>
      <c r="R52" s="2" t="s">
        <v>33</v>
      </c>
      <c r="S52" s="2">
        <v>1</v>
      </c>
      <c r="T52" s="10">
        <f t="shared" si="1"/>
        <v>4800.6167599999999</v>
      </c>
      <c r="U52" s="2" t="s">
        <v>122</v>
      </c>
      <c r="V52" s="2" t="s">
        <v>150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</row>
    <row r="53" spans="1:207" s="2" customFormat="1" ht="39.950000000000003" customHeight="1" x14ac:dyDescent="0.25">
      <c r="A53" s="2">
        <v>43</v>
      </c>
      <c r="B53" s="11">
        <v>45471</v>
      </c>
      <c r="C53" s="2">
        <v>0</v>
      </c>
      <c r="D53" s="2">
        <v>0</v>
      </c>
      <c r="E53" s="2">
        <v>0</v>
      </c>
      <c r="F53" s="2">
        <v>0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 t="s">
        <v>224</v>
      </c>
      <c r="Q53" s="10">
        <f>298334.36/1000</f>
        <v>298.33436</v>
      </c>
      <c r="R53" s="2" t="s">
        <v>33</v>
      </c>
      <c r="S53" s="2">
        <v>1</v>
      </c>
      <c r="T53" s="10">
        <f t="shared" si="1"/>
        <v>298.33436</v>
      </c>
      <c r="U53" s="2" t="s">
        <v>45</v>
      </c>
      <c r="V53" s="2" t="s">
        <v>151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</row>
    <row r="54" spans="1:207" s="2" customFormat="1" ht="39.950000000000003" customHeight="1" x14ac:dyDescent="0.25">
      <c r="A54" s="2">
        <v>44</v>
      </c>
      <c r="B54" s="11">
        <v>45450</v>
      </c>
      <c r="C54" s="2">
        <v>0</v>
      </c>
      <c r="D54" s="2">
        <v>0</v>
      </c>
      <c r="E54" s="2">
        <v>0</v>
      </c>
      <c r="F54" s="2">
        <v>0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 t="s">
        <v>225</v>
      </c>
      <c r="Q54" s="10">
        <f>732236.89/1000</f>
        <v>732.23689000000002</v>
      </c>
      <c r="R54" s="2" t="s">
        <v>33</v>
      </c>
      <c r="S54" s="2">
        <v>1</v>
      </c>
      <c r="T54" s="10">
        <f t="shared" si="1"/>
        <v>732.23689000000002</v>
      </c>
      <c r="U54" s="2" t="s">
        <v>123</v>
      </c>
      <c r="V54" s="2" t="s">
        <v>152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</row>
    <row r="55" spans="1:207" s="2" customFormat="1" ht="39.950000000000003" customHeight="1" x14ac:dyDescent="0.25">
      <c r="A55" s="2">
        <v>45</v>
      </c>
      <c r="B55" s="11">
        <v>45454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 t="s">
        <v>226</v>
      </c>
      <c r="Q55" s="10">
        <f>19500000/1000</f>
        <v>19500</v>
      </c>
      <c r="R55" s="2" t="s">
        <v>32</v>
      </c>
      <c r="S55" s="2">
        <v>1</v>
      </c>
      <c r="T55" s="10">
        <f>Q55</f>
        <v>19500</v>
      </c>
      <c r="U55" s="2" t="s">
        <v>124</v>
      </c>
      <c r="V55" s="2" t="s">
        <v>153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</row>
    <row r="56" spans="1:207" s="4" customFormat="1" ht="30" customHeight="1" x14ac:dyDescent="0.25">
      <c r="A56" s="21" t="s">
        <v>30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</row>
    <row r="57" spans="1:207" s="2" customFormat="1" ht="39.950000000000003" customHeight="1" x14ac:dyDescent="0.25">
      <c r="A57" s="2">
        <v>46</v>
      </c>
      <c r="B57" s="11">
        <v>45456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0</v>
      </c>
      <c r="P57" s="2" t="s">
        <v>47</v>
      </c>
      <c r="Q57" s="10">
        <f>8000/1000</f>
        <v>8</v>
      </c>
      <c r="R57" s="2" t="s">
        <v>32</v>
      </c>
      <c r="S57" s="2">
        <v>1</v>
      </c>
      <c r="T57" s="10">
        <f>Q57</f>
        <v>8</v>
      </c>
      <c r="U57" s="2" t="s">
        <v>67</v>
      </c>
      <c r="V57" s="2" t="s">
        <v>68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</row>
    <row r="58" spans="1:207" s="2" customFormat="1" ht="39.950000000000003" customHeight="1" x14ac:dyDescent="0.25">
      <c r="A58" s="2">
        <v>47</v>
      </c>
      <c r="B58" s="11">
        <v>45449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0</v>
      </c>
      <c r="P58" s="2" t="s">
        <v>69</v>
      </c>
      <c r="Q58" s="10">
        <f>99000/1000</f>
        <v>99</v>
      </c>
      <c r="R58" s="2" t="s">
        <v>32</v>
      </c>
      <c r="S58" s="2">
        <v>1</v>
      </c>
      <c r="T58" s="10">
        <f>Q58</f>
        <v>99</v>
      </c>
      <c r="U58" s="2" t="s">
        <v>77</v>
      </c>
      <c r="V58" s="2" t="s">
        <v>73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</row>
    <row r="59" spans="1:207" s="2" customFormat="1" ht="39.950000000000003" customHeight="1" x14ac:dyDescent="0.25">
      <c r="A59" s="2">
        <v>48</v>
      </c>
      <c r="B59" s="11">
        <v>45456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0</v>
      </c>
      <c r="P59" s="2" t="s">
        <v>70</v>
      </c>
      <c r="Q59" s="10">
        <f>1700/1000</f>
        <v>1.7</v>
      </c>
      <c r="R59" s="2" t="s">
        <v>32</v>
      </c>
      <c r="S59" s="2">
        <v>1</v>
      </c>
      <c r="T59" s="10">
        <f t="shared" ref="T59:T73" si="2">Q59</f>
        <v>1.7</v>
      </c>
      <c r="U59" s="2" t="s">
        <v>78</v>
      </c>
      <c r="V59" s="2" t="s">
        <v>74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</row>
    <row r="60" spans="1:207" s="2" customFormat="1" ht="39.950000000000003" customHeight="1" x14ac:dyDescent="0.25">
      <c r="A60" s="2">
        <v>49</v>
      </c>
      <c r="B60" s="11">
        <v>45456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 t="s">
        <v>47</v>
      </c>
      <c r="Q60" s="10">
        <f>99400/1000</f>
        <v>99.4</v>
      </c>
      <c r="R60" s="2" t="s">
        <v>32</v>
      </c>
      <c r="S60" s="2">
        <v>1</v>
      </c>
      <c r="T60" s="10">
        <f t="shared" si="2"/>
        <v>99.4</v>
      </c>
      <c r="U60" s="2" t="s">
        <v>78</v>
      </c>
      <c r="V60" s="2" t="s">
        <v>80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</row>
    <row r="61" spans="1:207" s="2" customFormat="1" ht="39.950000000000003" customHeight="1" x14ac:dyDescent="0.25">
      <c r="A61" s="2">
        <v>50</v>
      </c>
      <c r="B61" s="11">
        <v>45470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  <c r="P61" s="2" t="s">
        <v>47</v>
      </c>
      <c r="Q61" s="10">
        <f>15000/1000</f>
        <v>15</v>
      </c>
      <c r="R61" s="2" t="s">
        <v>32</v>
      </c>
      <c r="S61" s="2">
        <v>1</v>
      </c>
      <c r="T61" s="10">
        <f t="shared" si="2"/>
        <v>15</v>
      </c>
      <c r="U61" s="2" t="s">
        <v>78</v>
      </c>
      <c r="V61" s="2" t="s">
        <v>81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</row>
    <row r="62" spans="1:207" s="2" customFormat="1" ht="39.950000000000003" customHeight="1" x14ac:dyDescent="0.25">
      <c r="A62" s="2">
        <v>51</v>
      </c>
      <c r="B62" s="11">
        <v>45460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0</v>
      </c>
      <c r="P62" s="2" t="s">
        <v>47</v>
      </c>
      <c r="Q62" s="10">
        <f>24000/1000</f>
        <v>24</v>
      </c>
      <c r="R62" s="2" t="s">
        <v>32</v>
      </c>
      <c r="S62" s="2">
        <v>1</v>
      </c>
      <c r="T62" s="10">
        <f t="shared" si="2"/>
        <v>24</v>
      </c>
      <c r="U62" s="2" t="s">
        <v>79</v>
      </c>
      <c r="V62" s="2" t="s">
        <v>82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</row>
    <row r="63" spans="1:207" s="2" customFormat="1" ht="39.950000000000003" customHeight="1" x14ac:dyDescent="0.25">
      <c r="A63" s="2">
        <v>52</v>
      </c>
      <c r="B63" s="11">
        <v>45457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 t="s">
        <v>83</v>
      </c>
      <c r="Q63" s="10">
        <f>72000/1000</f>
        <v>72</v>
      </c>
      <c r="R63" s="2" t="s">
        <v>32</v>
      </c>
      <c r="S63" s="2">
        <v>1</v>
      </c>
      <c r="T63" s="10">
        <f t="shared" si="2"/>
        <v>72</v>
      </c>
      <c r="U63" s="2" t="s">
        <v>86</v>
      </c>
      <c r="V63" s="2" t="s">
        <v>88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</row>
    <row r="64" spans="1:207" s="2" customFormat="1" ht="39.950000000000003" customHeight="1" x14ac:dyDescent="0.25">
      <c r="A64" s="2">
        <v>53</v>
      </c>
      <c r="B64" s="11">
        <v>45462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  <c r="P64" s="2" t="s">
        <v>84</v>
      </c>
      <c r="Q64" s="10">
        <f>53717.27/1000</f>
        <v>53.717269999999999</v>
      </c>
      <c r="R64" s="2" t="s">
        <v>32</v>
      </c>
      <c r="S64" s="2">
        <v>1</v>
      </c>
      <c r="T64" s="10">
        <f t="shared" si="2"/>
        <v>53.717269999999999</v>
      </c>
      <c r="U64" s="2" t="s">
        <v>87</v>
      </c>
      <c r="V64" s="2" t="s">
        <v>89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</row>
    <row r="65" spans="1:207" s="2" customFormat="1" ht="39.950000000000003" customHeight="1" x14ac:dyDescent="0.25">
      <c r="A65" s="2">
        <v>54</v>
      </c>
      <c r="B65" s="11">
        <v>45462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  <c r="P65" s="2" t="s">
        <v>85</v>
      </c>
      <c r="Q65" s="10">
        <f>80575.9/1000</f>
        <v>80.57589999999999</v>
      </c>
      <c r="R65" s="2" t="s">
        <v>32</v>
      </c>
      <c r="S65" s="2">
        <v>1</v>
      </c>
      <c r="T65" s="10">
        <f t="shared" si="2"/>
        <v>80.57589999999999</v>
      </c>
      <c r="U65" s="2" t="s">
        <v>87</v>
      </c>
      <c r="V65" s="2" t="s">
        <v>90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</row>
    <row r="66" spans="1:207" s="2" customFormat="1" ht="39.950000000000003" customHeight="1" x14ac:dyDescent="0.25">
      <c r="A66" s="2">
        <v>55</v>
      </c>
      <c r="B66" s="11">
        <v>45469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 t="s">
        <v>92</v>
      </c>
      <c r="Q66" s="10">
        <f>3038/1000</f>
        <v>3.0379999999999998</v>
      </c>
      <c r="R66" s="2" t="s">
        <v>32</v>
      </c>
      <c r="S66" s="2">
        <v>1</v>
      </c>
      <c r="T66" s="10">
        <f t="shared" si="2"/>
        <v>3.0379999999999998</v>
      </c>
      <c r="U66" s="2" t="s">
        <v>36</v>
      </c>
      <c r="V66" s="2" t="s">
        <v>93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</row>
    <row r="67" spans="1:207" s="2" customFormat="1" ht="39.950000000000003" customHeight="1" x14ac:dyDescent="0.25">
      <c r="A67" s="2">
        <v>56</v>
      </c>
      <c r="B67" s="11">
        <v>45469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  <c r="P67" s="2" t="s">
        <v>47</v>
      </c>
      <c r="Q67" s="10">
        <f>6300/1000</f>
        <v>6.3</v>
      </c>
      <c r="R67" s="2" t="s">
        <v>32</v>
      </c>
      <c r="S67" s="2">
        <v>1</v>
      </c>
      <c r="T67" s="10">
        <f t="shared" si="2"/>
        <v>6.3</v>
      </c>
      <c r="U67" s="2" t="s">
        <v>48</v>
      </c>
      <c r="V67" s="2" t="s">
        <v>94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</row>
    <row r="68" spans="1:207" s="2" customFormat="1" ht="39.950000000000003" customHeight="1" x14ac:dyDescent="0.25">
      <c r="A68" s="2">
        <v>57</v>
      </c>
      <c r="B68" s="11">
        <v>45463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 t="s">
        <v>231</v>
      </c>
      <c r="Q68" s="10">
        <f>945305508.04/1000</f>
        <v>945305.50803999999</v>
      </c>
      <c r="R68" s="2" t="s">
        <v>32</v>
      </c>
      <c r="S68" s="2">
        <v>1</v>
      </c>
      <c r="T68" s="10">
        <f t="shared" si="2"/>
        <v>945305.50803999999</v>
      </c>
      <c r="U68" s="2" t="s">
        <v>171</v>
      </c>
      <c r="V68" s="2" t="s">
        <v>179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</row>
    <row r="69" spans="1:207" s="2" customFormat="1" ht="54.75" customHeight="1" x14ac:dyDescent="0.25">
      <c r="A69" s="2">
        <v>58</v>
      </c>
      <c r="B69" s="11">
        <v>45453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 t="s">
        <v>165</v>
      </c>
      <c r="Q69" s="10">
        <f>72800/1000</f>
        <v>72.8</v>
      </c>
      <c r="R69" s="2" t="s">
        <v>32</v>
      </c>
      <c r="S69" s="2">
        <v>1</v>
      </c>
      <c r="T69" s="10">
        <f t="shared" si="2"/>
        <v>72.8</v>
      </c>
      <c r="U69" s="2" t="s">
        <v>172</v>
      </c>
      <c r="V69" s="2" t="s">
        <v>180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</row>
    <row r="70" spans="1:207" s="2" customFormat="1" ht="39.950000000000003" customHeight="1" x14ac:dyDescent="0.25">
      <c r="A70" s="2">
        <v>59</v>
      </c>
      <c r="B70" s="11">
        <v>45457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0</v>
      </c>
      <c r="P70" s="2" t="s">
        <v>232</v>
      </c>
      <c r="Q70" s="10">
        <f>4561923.72/1000</f>
        <v>4561.9237199999998</v>
      </c>
      <c r="R70" s="2" t="s">
        <v>32</v>
      </c>
      <c r="S70" s="2">
        <v>1</v>
      </c>
      <c r="T70" s="10">
        <f t="shared" si="2"/>
        <v>4561.9237199999998</v>
      </c>
      <c r="U70" s="2" t="s">
        <v>34</v>
      </c>
      <c r="V70" s="2" t="s">
        <v>238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</row>
    <row r="71" spans="1:207" s="2" customFormat="1" ht="39.950000000000003" customHeight="1" x14ac:dyDescent="0.25">
      <c r="A71" s="2">
        <v>60</v>
      </c>
      <c r="B71" s="11">
        <v>45467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 t="s">
        <v>166</v>
      </c>
      <c r="Q71" s="10">
        <f>16097/1000</f>
        <v>16.097000000000001</v>
      </c>
      <c r="R71" s="2" t="s">
        <v>32</v>
      </c>
      <c r="S71" s="2">
        <v>1</v>
      </c>
      <c r="T71" s="10">
        <f t="shared" si="2"/>
        <v>16.097000000000001</v>
      </c>
      <c r="U71" s="2" t="s">
        <v>173</v>
      </c>
      <c r="V71" s="2" t="s">
        <v>239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</row>
    <row r="72" spans="1:207" s="2" customFormat="1" ht="39.950000000000003" customHeight="1" x14ac:dyDescent="0.25">
      <c r="A72" s="2">
        <v>61</v>
      </c>
      <c r="B72" s="11">
        <v>45462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 t="s">
        <v>234</v>
      </c>
      <c r="Q72" s="10">
        <f>28456921.17/1000</f>
        <v>28456.921170000001</v>
      </c>
      <c r="R72" s="2" t="s">
        <v>32</v>
      </c>
      <c r="S72" s="2">
        <v>1</v>
      </c>
      <c r="T72" s="10">
        <f t="shared" si="2"/>
        <v>28456.921170000001</v>
      </c>
      <c r="U72" s="2" t="s">
        <v>175</v>
      </c>
      <c r="V72" s="2" t="s">
        <v>182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</row>
    <row r="73" spans="1:207" s="2" customFormat="1" ht="39.950000000000003" customHeight="1" x14ac:dyDescent="0.25">
      <c r="A73" s="2">
        <v>62</v>
      </c>
      <c r="B73" s="11">
        <v>45462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 t="s">
        <v>168</v>
      </c>
      <c r="Q73" s="10">
        <f>322300/1000</f>
        <v>322.3</v>
      </c>
      <c r="R73" s="2" t="s">
        <v>32</v>
      </c>
      <c r="S73" s="2">
        <v>1</v>
      </c>
      <c r="T73" s="10">
        <f t="shared" si="2"/>
        <v>322.3</v>
      </c>
      <c r="U73" s="2" t="s">
        <v>176</v>
      </c>
      <c r="V73" s="2" t="s">
        <v>183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</row>
    <row r="74" spans="1:207" s="4" customFormat="1" ht="30" customHeight="1" x14ac:dyDescent="0.25">
      <c r="A74" s="2">
        <v>63</v>
      </c>
      <c r="B74" s="11">
        <v>45469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  <c r="P74" s="19" t="s">
        <v>235</v>
      </c>
      <c r="Q74" s="16">
        <f>7897120/1000</f>
        <v>7897.12</v>
      </c>
      <c r="R74" s="2" t="s">
        <v>32</v>
      </c>
      <c r="S74" s="2">
        <v>1</v>
      </c>
      <c r="T74" s="16">
        <f t="shared" ref="T74:T79" si="3">Q74</f>
        <v>7897.12</v>
      </c>
      <c r="U74" s="2" t="s">
        <v>160</v>
      </c>
      <c r="V74" s="2" t="s">
        <v>156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</row>
    <row r="75" spans="1:207" s="4" customFormat="1" ht="30" customHeight="1" x14ac:dyDescent="0.25">
      <c r="A75" s="2">
        <v>64</v>
      </c>
      <c r="B75" s="11">
        <v>45469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  <c r="P75" s="19" t="s">
        <v>235</v>
      </c>
      <c r="Q75" s="2">
        <f>7179200/1000</f>
        <v>7179.2</v>
      </c>
      <c r="R75" s="2" t="s">
        <v>32</v>
      </c>
      <c r="S75" s="2">
        <v>1</v>
      </c>
      <c r="T75" s="16">
        <f t="shared" si="3"/>
        <v>7179.2</v>
      </c>
      <c r="U75" s="2" t="s">
        <v>160</v>
      </c>
      <c r="V75" s="2" t="s">
        <v>157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</row>
    <row r="76" spans="1:207" s="4" customFormat="1" ht="30" customHeight="1" x14ac:dyDescent="0.25">
      <c r="A76" s="2">
        <v>65</v>
      </c>
      <c r="B76" s="26">
        <v>45464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  <c r="P76" s="15" t="s">
        <v>236</v>
      </c>
      <c r="Q76" s="16">
        <f>295418105.58/1000</f>
        <v>295418.10557999997</v>
      </c>
      <c r="R76" s="2" t="s">
        <v>31</v>
      </c>
      <c r="S76" s="2">
        <v>1</v>
      </c>
      <c r="T76" s="16">
        <f t="shared" si="3"/>
        <v>295418.10557999997</v>
      </c>
      <c r="U76" s="2" t="s">
        <v>160</v>
      </c>
      <c r="V76" s="2" t="s">
        <v>185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</row>
    <row r="77" spans="1:207" s="4" customFormat="1" ht="30" customHeight="1" x14ac:dyDescent="0.25">
      <c r="A77" s="2">
        <v>66</v>
      </c>
      <c r="B77" s="26">
        <v>45464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  <c r="P77" s="19" t="s">
        <v>235</v>
      </c>
      <c r="Q77" s="10">
        <f>89134570/1000</f>
        <v>89134.57</v>
      </c>
      <c r="R77" s="2" t="s">
        <v>32</v>
      </c>
      <c r="S77" s="2">
        <v>1</v>
      </c>
      <c r="T77" s="16">
        <f t="shared" si="3"/>
        <v>89134.57</v>
      </c>
      <c r="U77" s="2" t="s">
        <v>160</v>
      </c>
      <c r="V77" s="2" t="s">
        <v>158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</row>
    <row r="78" spans="1:207" s="4" customFormat="1" ht="30" customHeight="1" x14ac:dyDescent="0.25">
      <c r="A78" s="2">
        <v>67</v>
      </c>
      <c r="B78" s="26">
        <v>45464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  <c r="P78" s="15" t="s">
        <v>237</v>
      </c>
      <c r="Q78" s="16">
        <f>47085096.41/1000</f>
        <v>47085.096409999998</v>
      </c>
      <c r="R78" s="2" t="s">
        <v>31</v>
      </c>
      <c r="S78" s="2">
        <v>1</v>
      </c>
      <c r="T78" s="16">
        <f t="shared" si="3"/>
        <v>47085.096409999998</v>
      </c>
      <c r="U78" s="2" t="s">
        <v>160</v>
      </c>
      <c r="V78" s="2" t="s">
        <v>186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</row>
    <row r="79" spans="1:207" s="4" customFormat="1" ht="30" customHeight="1" x14ac:dyDescent="0.25">
      <c r="A79" s="2">
        <v>68</v>
      </c>
      <c r="B79" s="26">
        <v>45469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1</v>
      </c>
      <c r="N79" s="2">
        <v>0</v>
      </c>
      <c r="O79" s="2">
        <v>0</v>
      </c>
      <c r="P79" s="15" t="s">
        <v>170</v>
      </c>
      <c r="Q79" s="2">
        <f>50000/1000</f>
        <v>50</v>
      </c>
      <c r="R79" s="2" t="s">
        <v>31</v>
      </c>
      <c r="S79" s="2">
        <v>1</v>
      </c>
      <c r="T79" s="16">
        <f t="shared" si="3"/>
        <v>50</v>
      </c>
      <c r="U79" s="2" t="s">
        <v>178</v>
      </c>
      <c r="V79" s="2" t="s">
        <v>187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</row>
    <row r="80" spans="1:207" s="4" customFormat="1" ht="30" customHeight="1" x14ac:dyDescent="0.25">
      <c r="A80" s="20" t="s">
        <v>49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</row>
    <row r="81" spans="1:207" s="4" customFormat="1" ht="30" customHeight="1" x14ac:dyDescent="0.25">
      <c r="A81" s="2">
        <v>69</v>
      </c>
      <c r="B81" s="11">
        <v>45464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  <c r="P81" s="19" t="s">
        <v>154</v>
      </c>
      <c r="Q81" s="16">
        <f>7403149.02/1000</f>
        <v>7403.1490199999998</v>
      </c>
      <c r="R81" s="2" t="s">
        <v>32</v>
      </c>
      <c r="S81" s="2">
        <v>1</v>
      </c>
      <c r="T81" s="16">
        <f>Q81</f>
        <v>7403.1490199999998</v>
      </c>
      <c r="U81" s="2" t="s">
        <v>159</v>
      </c>
      <c r="V81" s="2" t="s">
        <v>155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</row>
    <row r="82" spans="1:207" s="2" customFormat="1" ht="39.950000000000003" customHeight="1" x14ac:dyDescent="0.25">
      <c r="A82" s="2">
        <v>70</v>
      </c>
      <c r="B82" s="11">
        <v>45467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  <c r="P82" s="2" t="s">
        <v>161</v>
      </c>
      <c r="Q82" s="10">
        <f>2153291.1/1000</f>
        <v>2153.2910999999999</v>
      </c>
      <c r="R82" s="2" t="s">
        <v>32</v>
      </c>
      <c r="S82" s="2">
        <v>1</v>
      </c>
      <c r="T82" s="10">
        <f t="shared" ref="T82" si="4">Q82</f>
        <v>2153.2910999999999</v>
      </c>
      <c r="U82" s="2" t="s">
        <v>36</v>
      </c>
      <c r="V82" s="2" t="s">
        <v>163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</row>
    <row r="83" spans="1:207" s="2" customFormat="1" ht="39.950000000000003" customHeight="1" x14ac:dyDescent="0.25">
      <c r="A83" s="2">
        <v>71</v>
      </c>
      <c r="B83" s="11">
        <v>45461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 t="s">
        <v>162</v>
      </c>
      <c r="Q83" s="10">
        <f>1360444.63/1000</f>
        <v>1360.44463</v>
      </c>
      <c r="R83" s="2" t="s">
        <v>32</v>
      </c>
      <c r="S83" s="2">
        <v>1</v>
      </c>
      <c r="T83" s="10">
        <f t="shared" ref="T83" si="5">Q83</f>
        <v>1360.44463</v>
      </c>
      <c r="U83" s="2" t="s">
        <v>36</v>
      </c>
      <c r="V83" s="2" t="s">
        <v>164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</row>
    <row r="84" spans="1:207" s="17" customFormat="1" ht="30" customHeight="1" x14ac:dyDescent="0.25">
      <c r="A84" s="20" t="s">
        <v>227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1:207" s="2" customFormat="1" ht="50.25" customHeight="1" x14ac:dyDescent="0.25">
      <c r="A85" s="2">
        <v>72</v>
      </c>
      <c r="B85" s="11">
        <v>45453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  <c r="P85" s="2" t="s">
        <v>229</v>
      </c>
      <c r="Q85" s="10">
        <f>45060/1000</f>
        <v>45.06</v>
      </c>
      <c r="R85" s="2" t="s">
        <v>32</v>
      </c>
      <c r="S85" s="2">
        <v>1</v>
      </c>
      <c r="T85" s="10">
        <f>Q85</f>
        <v>45.06</v>
      </c>
      <c r="U85" s="2" t="s">
        <v>75</v>
      </c>
      <c r="V85" s="2" t="s">
        <v>71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</row>
    <row r="86" spans="1:207" s="2" customFormat="1" ht="39.950000000000003" customHeight="1" x14ac:dyDescent="0.25">
      <c r="A86" s="2">
        <v>73</v>
      </c>
      <c r="B86" s="11">
        <v>45462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 t="s">
        <v>228</v>
      </c>
      <c r="Q86" s="10">
        <f>97500/1000</f>
        <v>97.5</v>
      </c>
      <c r="R86" s="2" t="s">
        <v>32</v>
      </c>
      <c r="S86" s="2">
        <v>1</v>
      </c>
      <c r="T86" s="10">
        <f>Q86</f>
        <v>97.5</v>
      </c>
      <c r="U86" s="2" t="s">
        <v>76</v>
      </c>
      <c r="V86" s="2" t="s">
        <v>72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</row>
    <row r="87" spans="1:207" s="2" customFormat="1" ht="39.950000000000003" customHeight="1" x14ac:dyDescent="0.25">
      <c r="A87" s="2">
        <v>74</v>
      </c>
      <c r="B87" s="11">
        <v>45450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0</v>
      </c>
      <c r="P87" s="2" t="s">
        <v>169</v>
      </c>
      <c r="Q87" s="10">
        <f>2685867/1000</f>
        <v>2685.8670000000002</v>
      </c>
      <c r="R87" s="2" t="s">
        <v>33</v>
      </c>
      <c r="S87" s="2">
        <v>1</v>
      </c>
      <c r="T87" s="10">
        <f>Q87</f>
        <v>2685.8670000000002</v>
      </c>
      <c r="U87" s="2" t="s">
        <v>177</v>
      </c>
      <c r="V87" s="2" t="s">
        <v>184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</row>
    <row r="88" spans="1:207" s="2" customFormat="1" ht="39.950000000000003" customHeight="1" x14ac:dyDescent="0.25">
      <c r="A88" s="2">
        <v>75</v>
      </c>
      <c r="B88" s="11">
        <v>45449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 t="s">
        <v>230</v>
      </c>
      <c r="Q88" s="10">
        <f>37300/1000</f>
        <v>37.299999999999997</v>
      </c>
      <c r="R88" s="2" t="s">
        <v>32</v>
      </c>
      <c r="S88" s="2">
        <v>1</v>
      </c>
      <c r="T88" s="10">
        <f>Q88</f>
        <v>37.299999999999997</v>
      </c>
      <c r="U88" s="2" t="s">
        <v>39</v>
      </c>
      <c r="V88" s="2" t="s">
        <v>91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</row>
    <row r="89" spans="1:207" s="18" customFormat="1" ht="30" customHeight="1" x14ac:dyDescent="0.25">
      <c r="A89" s="21" t="s">
        <v>233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07" s="2" customFormat="1" ht="39.950000000000003" customHeight="1" x14ac:dyDescent="0.25">
      <c r="A90" s="2">
        <v>76</v>
      </c>
      <c r="B90" s="11">
        <v>45469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 t="s">
        <v>167</v>
      </c>
      <c r="Q90" s="10">
        <f>8500000/1000</f>
        <v>8500</v>
      </c>
      <c r="R90" s="2" t="s">
        <v>32</v>
      </c>
      <c r="S90" s="2">
        <v>1</v>
      </c>
      <c r="T90" s="10">
        <f>Q90</f>
        <v>8500</v>
      </c>
      <c r="U90" s="2" t="s">
        <v>174</v>
      </c>
      <c r="V90" s="2" t="s">
        <v>181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</row>
  </sheetData>
  <autoFilter ref="A9:W79"/>
  <mergeCells count="26">
    <mergeCell ref="A1:V3"/>
    <mergeCell ref="N7:N8"/>
    <mergeCell ref="O7:O8"/>
    <mergeCell ref="U4:U8"/>
    <mergeCell ref="C5:M5"/>
    <mergeCell ref="N5:O6"/>
    <mergeCell ref="C6:L6"/>
    <mergeCell ref="M6:M8"/>
    <mergeCell ref="C7:E7"/>
    <mergeCell ref="F7:H7"/>
    <mergeCell ref="I7:J7"/>
    <mergeCell ref="Q4:Q8"/>
    <mergeCell ref="R4:R8"/>
    <mergeCell ref="S4:S8"/>
    <mergeCell ref="T4:T8"/>
    <mergeCell ref="A84:V84"/>
    <mergeCell ref="A89:V89"/>
    <mergeCell ref="A80:U80"/>
    <mergeCell ref="A56:V56"/>
    <mergeCell ref="V4:V8"/>
    <mergeCell ref="A10:V10"/>
    <mergeCell ref="K7:L7"/>
    <mergeCell ref="A4:A8"/>
    <mergeCell ref="B4:B8"/>
    <mergeCell ref="C4:O4"/>
    <mergeCell ref="P4:P8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2024</vt:lpstr>
      <vt:lpstr>Цена_за_единицу_товара__работ__услуг__тыс._руб.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Фешина Наталья Александровна</dc:creator>
  <cp:lastModifiedBy>Комарова Елена Александровна</cp:lastModifiedBy>
  <cp:lastPrinted>2019-08-07T09:44:10Z</cp:lastPrinted>
  <dcterms:created xsi:type="dcterms:W3CDTF">2019-04-18T07:14:20Z</dcterms:created>
  <dcterms:modified xsi:type="dcterms:W3CDTF">2024-07-06T04:44:35Z</dcterms:modified>
</cp:coreProperties>
</file>